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Allgemein\temp Nowicki\THE Prüfung\"/>
    </mc:Choice>
  </mc:AlternateContent>
  <xr:revisionPtr revIDLastSave="0" documentId="13_ncr:1_{ED59BEC2-6F4B-43EF-AC88-FB5BDF1FC8F6}" xr6:coauthVersionLast="36" xr6:coauthVersionMax="44" xr10:uidLastSave="{00000000-0000-0000-0000-000000000000}"/>
  <bookViews>
    <workbookView xWindow="0" yWindow="0" windowWidth="23760" windowHeight="8076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E6" i="1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X21" i="7" l="1"/>
  <c r="X13" i="7"/>
  <c r="X11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P11" i="7"/>
  <c r="N13" i="7"/>
  <c r="I14" i="7"/>
  <c r="H15" i="7"/>
  <c r="P15" i="7"/>
  <c r="O16" i="7"/>
  <c r="N17" i="7"/>
  <c r="M18" i="7"/>
  <c r="L19" i="7"/>
  <c r="K20" i="7"/>
  <c r="J21" i="7"/>
  <c r="I2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11" i="7"/>
  <c r="J13" i="7"/>
  <c r="M14" i="7"/>
  <c r="L15" i="7"/>
  <c r="K16" i="7"/>
  <c r="J17" i="7"/>
  <c r="I18" i="7"/>
  <c r="H19" i="7"/>
  <c r="P19" i="7"/>
  <c r="O20" i="7"/>
  <c r="N21" i="7"/>
  <c r="M22" i="7"/>
  <c r="I11" i="7"/>
  <c r="F21" i="7"/>
  <c r="F19" i="7"/>
  <c r="F17" i="7"/>
  <c r="F15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6" i="7"/>
  <c r="Q21" i="7"/>
  <c r="Q22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<sst xmlns="http://schemas.openxmlformats.org/spreadsheetml/2006/main" count="1390" uniqueCount="675">
  <si>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</si>
  <si>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</si>
  <si>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</si>
  <si>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</si>
  <si>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</si>
  <si>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</si>
  <si>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</si>
  <si>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</si>
  <si>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</si>
  <si>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</si>
  <si>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</si>
  <si>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</si>
  <si>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</si>
  <si>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</si>
  <si>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</si>
  <si>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</si>
  <si>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</si>
  <si>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</si>
  <si>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</si>
  <si>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</si>
  <si>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</si>
  <si>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</si>
  <si>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</si>
  <si>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</si>
  <si>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</si>
  <si>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</si>
  <si>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</si>
  <si>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</si>
  <si>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</si>
  <si>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</si>
  <si>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</si>
  <si>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</si>
  <si>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</si>
  <si>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</si>
  <si>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</si>
  <si>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</si>
  <si>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</si>
  <si>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</si>
  <si>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</si>
  <si>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</si>
  <si>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</si>
  <si>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</si>
  <si>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</si>
  <si>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</si>
  <si>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</si>
  <si>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</si>
  <si>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</si>
  <si>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</si>
  <si>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</si>
  <si>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</si>
  <si>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</si>
  <si>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</si>
  <si>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</si>
  <si>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</si>
  <si>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</si>
  <si>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</si>
  <si>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</si>
  <si>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</si>
  <si>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</si>
  <si>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</si>
  <si>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</si>
  <si>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</si>
  <si>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</si>
  <si>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</si>
  <si>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</si>
  <si>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</si>
  <si>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</si>
  <si>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</si>
  <si>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</si>
  <si>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</si>
  <si>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</si>
  <si>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</si>
  <si>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</si>
  <si>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</si>
  <si>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</si>
  <si>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</si>
  <si>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</si>
  <si>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</si>
  <si>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</si>
  <si>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</si>
  <si>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</si>
  <si>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</si>
  <si>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</si>
  <si>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</si>
  <si>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</si>
  <si>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</si>
  <si>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</si>
  <si>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</si>
  <si>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</si>
  <si>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</si>
  <si>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</si>
  <si>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</si>
  <si>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</si>
  <si>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</si>
  <si>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</si>
  <si>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</si>
  <si>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</si>
  <si>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</si>
  <si>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</si>
  <si>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</si>
  <si>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</si>
  <si>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</si>
  <si>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</si>
  <si>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</si>
  <si>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</si>
  <si>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</si>
  <si>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</si>
  <si>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</si>
  <si>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</si>
  <si>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</si>
  <si>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</si>
  <si>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</si>
  <si>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</si>
  <si>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</si>
  <si>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</si>
  <si>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</si>
  <si>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</si>
  <si>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</si>
  <si>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</si>
  <si>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</si>
  <si>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</si>
  <si>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</si>
  <si>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</si>
  <si>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</si>
  <si>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</si>
  <si>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</si>
  <si>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</si>
  <si>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</si>
  <si>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</si>
  <si>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</si>
  <si>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</si>
  <si>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</si>
  <si>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</si>
  <si>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</si>
  <si>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</si>
  <si>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</si>
  <si>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</si>
  <si>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</si>
  <si>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</si>
  <si>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</si>
  <si>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</si>
  <si>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</si>
  <si>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</si>
  <si>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</si>
  <si>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</si>
  <si>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</si>
  <si>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</si>
  <si>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</si>
  <si>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</si>
  <si>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</si>
  <si>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</si>
  <si>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</si>
  <si>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</si>
  <si>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</si>
  <si>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</si>
  <si>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</si>
  <si>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</si>
  <si>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</si>
  <si>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</si>
  <si>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</si>
  <si>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</si>
  <si>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</si>
  <si>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</si>
  <si>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</si>
  <si>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</si>
  <si>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</si>
  <si>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</si>
  <si>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</si>
  <si>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</si>
  <si>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</si>
  <si>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</si>
  <si>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</si>
  <si>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</si>
  <si>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</si>
  <si>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</si>
  <si>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</si>
  <si>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</si>
  <si>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</si>
  <si>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</si>
  <si>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</si>
  <si>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</si>
  <si>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</si>
  <si>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</si>
  <si>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</si>
  <si>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</si>
  <si>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</si>
  <si>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</si>
  <si>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</si>
  <si>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</si>
  <si>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</si>
  <si>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</si>
  <si>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</si>
  <si>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</si>
  <si>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</si>
  <si>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</si>
  <si>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</si>
  <si>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</si>
  <si>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</si>
  <si>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</si>
  <si>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</si>
  <si>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</si>
  <si>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</si>
  <si>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</si>
  <si>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</si>
  <si>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</si>
  <si>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</si>
  <si>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</si>
  <si>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</si>
  <si>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</si>
  <si>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</si>
  <si>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</si>
  <si>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</si>
  <si>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</si>
  <si>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</si>
  <si>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</si>
  <si>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</si>
  <si>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</si>
  <si>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</si>
  <si>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</si>
  <si>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</si>
  <si>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</si>
  <si>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</si>
  <si>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</si>
  <si>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</si>
  <si>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</si>
  <si>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</si>
  <si>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</si>
  <si>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</si>
  <si>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</si>
  <si>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</si>
  <si>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</si>
  <si>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</si>
  <si>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</si>
  <si>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</si>
  <si>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</si>
  <si>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</si>
  <si>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</si>
  <si>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</si>
  <si>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</si>
  <si>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</si>
  <si>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</si>
  <si>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</si>
  <si>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</si>
  <si>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</si>
  <si>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</si>
  <si>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</si>
  <si>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</si>
  <si>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</si>
  <si>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</si>
  <si>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</si>
  <si>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</si>
  <si>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</si>
  <si>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</si>
  <si>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</si>
  <si>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</si>
  <si>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</si>
  <si>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</si>
  <si>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</si>
  <si>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</si>
  <si>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</si>
  <si>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</si>
  <si>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</si>
  <si>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</si>
  <si>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</si>
  <si>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</si>
  <si>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</si>
  <si>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</si>
  <si>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</si>
  <si>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</si>
  <si>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</si>
  <si>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</si>
  <si>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</si>
  <si>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</si>
  <si>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</si>
  <si>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</si>
  <si>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</si>
  <si>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</si>
  <si>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</si>
  <si>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</si>
  <si>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</si>
  <si>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</si>
  <si>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</si>
  <si>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</si>
  <si>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</si>
  <si>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</si>
  <si>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</si>
  <si>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</si>
  <si>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</si>
  <si>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</si>
  <si>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</si>
  <si>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</si>
  <si>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</si>
  <si>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</si>
  <si>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</si>
  <si>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</si>
  <si>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</si>
  <si>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</si>
  <si>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</si>
  <si>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</si>
  <si>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</si>
  <si>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</si>
  <si>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</si>
  <si>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</si>
  <si>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</si>
  <si>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</si>
  <si>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</si>
  <si>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</si>
  <si>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</si>
  <si>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</si>
  <si>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</si>
  <si>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</si>
  <si>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</si>
  <si>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</si>
  <si>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</si>
  <si>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</si>
  <si>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</si>
  <si>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</si>
  <si>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</si>
  <si>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</si>
  <si>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</si>
  <si>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</si>
  <si>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</si>
  <si>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</si>
  <si>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</si>
  <si>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</si>
  <si>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</si>
  <si>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</si>
  <si>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</si>
  <si>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</si>
  <si>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</si>
  <si>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</si>
  <si>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</si>
  <si>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</si>
  <si>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</si>
  <si>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</si>
  <si>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</si>
  <si>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</si>
  <si>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</si>
  <si>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</si>
  <si>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</si>
  <si>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</si>
  <si>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</si>
  <si>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</si>
  <si>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</si>
  <si>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</si>
  <si>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</si>
  <si>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</si>
  <si>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</si>
  <si>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</si>
  <si>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</si>
  <si>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</si>
  <si>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</si>
  <si>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</si>
  <si>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</si>
  <si>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</si>
  <si>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</si>
  <si>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</si>
  <si>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</si>
  <si>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</si>
  <si>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</si>
  <si>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</si>
  <si>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</si>
  <si>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</si>
  <si>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</si>
  <si>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</si>
  <si>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</si>
  <si>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</si>
  <si>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</si>
  <si>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</si>
  <si>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</si>
  <si>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</si>
  <si>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</si>
  <si>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</si>
  <si>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</si>
  <si>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</si>
  <si>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</si>
  <si>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</si>
  <si>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</si>
  <si>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</si>
  <si>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</si>
  <si>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</si>
  <si>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</si>
  <si>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</si>
  <si>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</si>
  <si>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</si>
  <si>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</si>
  <si>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</si>
  <si>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</si>
  <si>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</si>
  <si>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</si>
  <si>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</si>
  <si>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</si>
  <si>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</si>
  <si>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</si>
  <si>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</si>
  <si>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</si>
  <si>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</si>
  <si>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</si>
  <si>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</si>
  <si>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</si>
  <si>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</si>
  <si>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</si>
  <si>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</si>
  <si>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</si>
  <si>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</si>
  <si>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</si>
  <si>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</si>
  <si>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</si>
  <si>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</si>
  <si>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</si>
  <si>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</si>
  <si>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</si>
  <si>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</si>
  <si>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</si>
  <si>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</si>
  <si>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</si>
  <si>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</si>
  <si>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</si>
  <si>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</si>
  <si>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</si>
  <si>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</si>
  <si>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</si>
  <si>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</si>
  <si>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</si>
  <si>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</si>
  <si>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</si>
  <si>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</si>
  <si>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</si>
  <si>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</si>
  <si>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</si>
  <si>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</si>
  <si>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</si>
  <si>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</si>
  <si>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</si>
  <si>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</si>
  <si>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</si>
  <si>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</si>
  <si>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</si>
  <si>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</si>
  <si>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</si>
  <si>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</si>
  <si>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</si>
  <si>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</si>
  <si>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</si>
  <si>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</si>
  <si>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</si>
  <si>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</si>
  <si>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</si>
  <si>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</si>
  <si>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</si>
  <si>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</si>
  <si>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</si>
  <si>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</si>
  <si>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</si>
  <si>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</si>
  <si>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</si>
  <si>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</si>
  <si>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</si>
  <si>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</si>
  <si>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</si>
  <si>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</si>
  <si>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</si>
  <si>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</si>
  <si>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</si>
  <si>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</si>
  <si>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</si>
  <si>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</si>
  <si>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</si>
  <si>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</si>
  <si>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</si>
  <si>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</si>
  <si>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</si>
  <si>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</si>
  <si>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</si>
  <si>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</si>
  <si>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</si>
  <si>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</si>
  <si>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</si>
  <si>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</si>
  <si>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</si>
  <si>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</si>
  <si>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</si>
  <si>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</si>
  <si>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</si>
  <si>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</si>
  <si>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</si>
  <si>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</si>
  <si>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</si>
  <si>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</si>
  <si>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</si>
  <si>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</si>
  <si>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</si>
  <si>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</si>
  <si>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</si>
  <si>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</si>
  <si>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</si>
  <si>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</si>
  <si>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</si>
  <si>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</si>
  <si>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</si>
  <si>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</si>
  <si>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</si>
  <si>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</si>
  <si>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</si>
  <si>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</si>
  <si>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</si>
  <si>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</si>
  <si>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</si>
  <si>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</si>
  <si>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</si>
  <si>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</si>
  <si>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</si>
  <si>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</si>
  <si>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</si>
  <si>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</si>
  <si>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</si>
  <si>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</si>
  <si>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</si>
  <si>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</si>
  <si>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</si>
  <si>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</si>
  <si>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</si>
  <si>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</si>
  <si>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</si>
  <si>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</si>
  <si>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</si>
  <si>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</si>
  <si>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</si>
  <si>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</si>
  <si>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</si>
  <si>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</si>
  <si>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</si>
  <si>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</si>
  <si>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</si>
  <si>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</si>
  <si>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</si>
  <si>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</si>
  <si>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</si>
  <si>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</si>
  <si>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</si>
  <si>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</si>
  <si>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</si>
  <si>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</si>
  <si>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</si>
  <si>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</si>
  <si>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</si>
  <si>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</si>
  <si>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</si>
  <si>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</si>
  <si>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</si>
  <si>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</si>
  <si>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</si>
  <si>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</si>
  <si>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</si>
  <si>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</si>
  <si>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</si>
  <si>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</si>
  <si>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</si>
  <si>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</si>
  <si>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</si>
  <si>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</si>
  <si>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</si>
  <si>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</si>
  <si>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</si>
  <si>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</si>
  <si>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</si>
  <si>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</si>
  <si>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</si>
  <si>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</si>
  <si>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</si>
  <si>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</si>
  <si>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</si>
  <si>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</si>
  <si>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</si>
  <si>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</si>
  <si>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</si>
  <si>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</si>
  <si>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</si>
  <si>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</si>
  <si>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</si>
  <si>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</si>
  <si>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</si>
  <si>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</si>
  <si>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</si>
  <si>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</si>
  <si>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</si>
  <si>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</si>
  <si>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</si>
  <si>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</si>
  <si>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</si>
  <si>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</si>
  <si>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</si>
  <si>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</si>
  <si>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</si>
  <si>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</si>
  <si>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</si>
  <si>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</si>
  <si>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</si>
  <si>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</si>
  <si>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</si>
  <si>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</si>
  <si>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</si>
  <si>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</si>
  <si>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</si>
  <si>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</si>
  <si>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</si>
  <si>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</si>
  <si>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</si>
  <si>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</si>
  <si>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</si>
  <si>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</si>
  <si>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</si>
  <si>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</si>
  <si>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</si>
  <si>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</si>
  <si>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</si>
  <si>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</si>
  <si>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</si>
  <si>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</si>
  <si>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</si>
  <si>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</si>
  <si>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</si>
  <si>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</si>
  <si>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</si>
  <si>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</si>
  <si>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</si>
  <si>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</si>
  <si>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</si>
  <si>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</si>
  <si>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</si>
  <si>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</si>
  <si>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</si>
  <si>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</si>
  <si>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</si>
  <si>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</si>
  <si>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</si>
  <si>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</si>
  <si>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</si>
  <si>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</si>
  <si>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</si>
  <si>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</si>
  <si>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</si>
  <si>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</si>
  <si>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</si>
  <si>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</si>
  <si>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</si>
  <si>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</si>
  <si>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</si>
  <si>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</si>
  <si>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</si>
  <si>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</si>
  <si>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</si>
  <si>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</si>
  <si>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</si>
  <si>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</si>
  <si>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</si>
  <si>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Heide GmbH</t>
  </si>
  <si>
    <t>Hinrich-Schmidt-Straße 16</t>
  </si>
  <si>
    <t>D-25746</t>
  </si>
  <si>
    <t>Heide</t>
  </si>
  <si>
    <t>Thomas Nowicki</t>
  </si>
  <si>
    <t>Thomas.Nowicki@stadtwerke-heide.de</t>
  </si>
  <si>
    <t>+49 481 906-175</t>
  </si>
  <si>
    <t>THE0NKH700897000</t>
  </si>
  <si>
    <t>190049 Erfde</t>
  </si>
  <si>
    <t>Erfde</t>
  </si>
  <si>
    <t>DE_GHA04</t>
  </si>
  <si>
    <t>DE_GGB04</t>
  </si>
  <si>
    <t>DE_GKO04</t>
  </si>
  <si>
    <t>DE_GBD04</t>
  </si>
  <si>
    <t>DE_GMK04</t>
  </si>
  <si>
    <t>DE_GPD04</t>
  </si>
  <si>
    <t>DE_GBH04</t>
  </si>
  <si>
    <t>DE_GGA04</t>
  </si>
  <si>
    <t>DE_GBA04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</si>
</sst>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omas.Nowicki@stadtwerke-heid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4.4" zeroHeight="1"/>
  <cols>
    <col min="1" max="1" width="2.777343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4.4" zeroHeight="1"/>
  <cols>
    <col min="1" max="1" width="2.77734375" style="8" customWidth="1"/>
    <col min="2" max="2" width="5.77734375" style="2" customWidth="1"/>
    <col min="3" max="3" width="65" customWidth="1"/>
    <col min="4" max="4" width="35.77734375" customWidth="1"/>
    <col min="5" max="5" width="11.44140625" customWidth="1"/>
    <col min="6" max="6" width="75.7773437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6">
        <v>9870089700009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 t="s">
        <v>658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67" t="s">
        <v>661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368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>
        <f>IF(D27&lt;&gt;C28,VLOOKUP(D27,$C$29:$D$48,2,FALSE),C28)</f>
        <v>700897</v>
      </c>
      <c r="E28" s="38"/>
      <c r="F28" s="11"/>
      <c r="G28" s="2"/>
    </row>
    <row r="29" spans="1:15">
      <c r="B29" s="15"/>
      <c r="C29" s="22" t="s">
        <v>393</v>
      </c>
      <c r="D29" s="44">
        <v>700897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22" zoomScale="80" zoomScaleNormal="80" workbookViewId="0">
      <selection activeCell="D37" sqref="D37"/>
    </sheetView>
  </sheetViews>
  <sheetFormatPr baseColWidth="10" defaultColWidth="0" defaultRowHeight="18" customHeight="1"/>
  <cols>
    <col min="1" max="1" width="2.77734375" style="8" customWidth="1"/>
    <col min="2" max="2" width="5.77734375" style="8" customWidth="1"/>
    <col min="3" max="3" width="51.44140625" style="8" customWidth="1"/>
    <col min="4" max="4" width="33.21875" style="8" customWidth="1"/>
    <col min="5" max="5" width="26.5546875" style="8" customWidth="1"/>
    <col min="6" max="39" width="8.77734375" style="13" hidden="1" customWidth="1"/>
    <col min="40" max="16384" width="8.777343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Stadtwerke Heide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60">
        <f>Netzbetreiber!D28</f>
        <v>700897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69">
        <f>Netzbetreiber!$D$11</f>
        <v>9870089700009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652</v>
      </c>
      <c r="D13" s="42" t="s">
        <v>663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612</v>
      </c>
      <c r="D19" s="48" t="s">
        <v>608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610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622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12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664</v>
      </c>
    </row>
    <row r="46" spans="2:39" ht="18" customHeight="1">
      <c r="C46" s="22" t="s">
        <v>586</v>
      </c>
      <c r="D46" s="44"/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E71" sqref="E71"/>
    </sheetView>
  </sheetViews>
  <sheetFormatPr baseColWidth="10" defaultColWidth="0" defaultRowHeight="14.4" zeroHeight="1"/>
  <cols>
    <col min="1" max="1" width="2.77734375" style="128" customWidth="1"/>
    <col min="2" max="2" width="5.44140625" style="128" customWidth="1"/>
    <col min="3" max="3" width="37.5546875" style="128" customWidth="1"/>
    <col min="4" max="4" width="12.5546875" style="128" customWidth="1"/>
    <col min="5" max="5" width="22" style="128" customWidth="1"/>
    <col min="6" max="14" width="12.77734375" style="128" customWidth="1"/>
    <col min="15" max="15" width="34.21875" style="128" customWidth="1"/>
    <col min="16" max="16" width="7.21875" style="170" hidden="1" customWidth="1"/>
    <col min="17" max="18" width="7.2187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21875" style="209" hidden="1" customWidth="1"/>
    <col min="24" max="24" width="5" style="209" hidden="1" customWidth="1"/>
    <col min="25" max="25" width="8.21875" style="209" hidden="1" customWidth="1"/>
    <col min="26" max="26" width="11.77734375" style="209" hidden="1" customWidth="1"/>
    <col min="27" max="27" width="8.777343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4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60">
        <f>Netzbetreiber!D28</f>
        <v>700897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69">
        <f>Netzbetreiber!D11</f>
        <v>9870089700009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1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 t="str">
        <f>INDEX('SLP-Verfahren'!D45:D59,'SLP-Temp-Gebiet #01'!F10)</f>
        <v>190049 Erfde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583</v>
      </c>
      <c r="D13" s="351"/>
      <c r="E13" s="351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519</v>
      </c>
      <c r="D24" s="188"/>
      <c r="E24" s="156" t="s">
        <v>665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190049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653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525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532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5.6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519</v>
      </c>
      <c r="D59" s="188"/>
      <c r="E59" s="156" t="str">
        <f>E24</f>
        <v>Erfde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190049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525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532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3" t="s">
        <v>579</v>
      </c>
      <c r="D73" s="353"/>
      <c r="E73" s="353"/>
      <c r="F73" s="353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8" priority="28">
      <formula>IF(E$20&lt;=$F$18,1,0)</formula>
    </cfRule>
  </conditionalFormatting>
  <conditionalFormatting sqref="E33:N37">
    <cfRule type="expression" dxfId="47" priority="27">
      <formula>IF(E$31&lt;=$F$29,1,0)</formula>
    </cfRule>
  </conditionalFormatting>
  <conditionalFormatting sqref="E26:N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7:N60">
    <cfRule type="expression" dxfId="44" priority="22">
      <formula>IF(E$55&lt;=$F$53,1,0)</formula>
    </cfRule>
  </conditionalFormatting>
  <conditionalFormatting sqref="E61:N61">
    <cfRule type="expression" dxfId="43" priority="21">
      <formula>IF(E$55&lt;=$F$53,1,0)</formula>
    </cfRule>
  </conditionalFormatting>
  <conditionalFormatting sqref="E67:N69">
    <cfRule type="expression" dxfId="42" priority="15">
      <formula>IF(E$65&lt;=$F$63,1,0)</formula>
    </cfRule>
  </conditionalFormatting>
  <conditionalFormatting sqref="E66:N69 E71:N71">
    <cfRule type="expression" dxfId="41" priority="13">
      <formula>IF(E$65&gt;$F$63,1,0)</formula>
    </cfRule>
  </conditionalFormatting>
  <conditionalFormatting sqref="E57:N61">
    <cfRule type="expression" dxfId="40" priority="12">
      <formula>IF(E$55&gt;$F$53,1,0)</formula>
    </cfRule>
  </conditionalFormatting>
  <conditionalFormatting sqref="E21:N26">
    <cfRule type="expression" dxfId="39" priority="11">
      <formula>IF(E$20&gt;$F$18,1,0)</formula>
    </cfRule>
  </conditionalFormatting>
  <conditionalFormatting sqref="E33:N37">
    <cfRule type="expression" dxfId="38" priority="10">
      <formula>IF(E$31&gt;$F$29,1,0)</formula>
    </cfRule>
  </conditionalFormatting>
  <conditionalFormatting sqref="H11 H8:H9">
    <cfRule type="expression" dxfId="37" priority="9">
      <formula>IF($F$9=1,1,0)</formula>
    </cfRule>
  </conditionalFormatting>
  <conditionalFormatting sqref="E56:N56">
    <cfRule type="expression" dxfId="36" priority="8">
      <formula>IF(E$55&gt;$F$53,1,0)</formula>
    </cfRule>
  </conditionalFormatting>
  <conditionalFormatting sqref="E32:N32">
    <cfRule type="expression" dxfId="35" priority="7">
      <formula>IF(E$31&gt;$F$29,1,0)</formula>
    </cfRule>
  </conditionalFormatting>
  <conditionalFormatting sqref="E71:N71">
    <cfRule type="expression" dxfId="34" priority="6">
      <formula>IF(E$65&lt;=$F$63,1,0)</formula>
    </cfRule>
  </conditionalFormatting>
  <conditionalFormatting sqref="H10">
    <cfRule type="expression" dxfId="33" priority="5">
      <formula>IF($F$9=1,1,0)</formula>
    </cfRule>
  </conditionalFormatting>
  <conditionalFormatting sqref="E70:N70">
    <cfRule type="expression" dxfId="32" priority="2">
      <formula>IF(E$65&lt;=$F$63,1,0)</formula>
    </cfRule>
  </conditionalFormatting>
  <conditionalFormatting sqref="E70:N70">
    <cfRule type="expression" dxfId="31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777343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77734375" style="128" customWidth="1"/>
    <col min="15" max="15" width="34.21875" style="128" customWidth="1"/>
    <col min="16" max="16" width="7.21875" style="170" customWidth="1"/>
    <col min="17" max="18" width="7.2187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21875" style="209" hidden="1" customWidth="1"/>
    <col min="24" max="24" width="5" style="209" hidden="1" customWidth="1"/>
    <col min="25" max="25" width="8.21875" style="209" hidden="1" customWidth="1"/>
    <col min="26" max="26" width="11.77734375" style="209" hidden="1" customWidth="1"/>
    <col min="27" max="27" width="8.777343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6383" width="22.5546875" style="56" hidden="1"/>
    <col min="16384" max="16384" width="1" style="56" hidden="1" customWidth="1"/>
  </cols>
  <sheetData>
    <row r="1" spans="1:56" ht="75" customHeight="1"/>
    <row r="2" spans="1:56" ht="23.4">
      <c r="B2" s="171" t="s">
        <v>543</v>
      </c>
    </row>
    <row r="3" spans="1:56" ht="15" customHeight="1">
      <c r="B3" s="171"/>
    </row>
    <row r="4" spans="1:56" ht="14.4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 ht="14.4">
      <c r="B5" s="130"/>
      <c r="C5" s="55" t="s">
        <v>441</v>
      </c>
      <c r="D5" s="56"/>
      <c r="E5" s="57">
        <f>Netzbetreiber!D28</f>
        <v>700897</v>
      </c>
      <c r="F5" s="130"/>
      <c r="G5" s="130"/>
      <c r="H5" s="130"/>
      <c r="M5" s="130"/>
      <c r="N5" s="130"/>
      <c r="O5" s="130"/>
    </row>
    <row r="6" spans="1:56" ht="14.4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 ht="14.4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 ht="14.4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 ht="14.4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 ht="14.4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 ht="14.4">
      <c r="B11" s="130"/>
      <c r="C11" s="55" t="s">
        <v>602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 ht="14.4"/>
    <row r="13" spans="1:56" ht="18" customHeight="1">
      <c r="B13" s="130"/>
      <c r="C13" s="351" t="s">
        <v>583</v>
      </c>
      <c r="D13" s="351"/>
      <c r="E13" s="351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 ht="14.4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3"/>
      <c r="C21" s="184" t="s">
        <v>524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3"/>
      <c r="C31" s="184" t="s">
        <v>525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 ht="14.4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142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5.6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 ht="14.4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 ht="14.4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 ht="14.4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 ht="14.4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 ht="14.4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 ht="14.4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 ht="14.4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 ht="14.4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 ht="14.4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 ht="14.4">
      <c r="B55" s="183"/>
      <c r="C55" s="184" t="s">
        <v>524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 ht="14.4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 ht="14.4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 ht="14.4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 ht="14.4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 ht="14.4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 ht="14.4">
      <c r="B65" s="183"/>
      <c r="C65" s="184" t="s">
        <v>525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 ht="14.4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 ht="14.4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 ht="14.4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 ht="14.4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 ht="14.4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 ht="14.4"/>
    <row r="72" spans="2:15" ht="15.75" customHeight="1">
      <c r="C72" s="353" t="s">
        <v>579</v>
      </c>
      <c r="D72" s="353"/>
      <c r="E72" s="353"/>
      <c r="F72" s="353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J29" sqref="J29"/>
    </sheetView>
  </sheetViews>
  <sheetFormatPr baseColWidth="10" defaultColWidth="0" defaultRowHeight="14.4" zeroHeight="1"/>
  <cols>
    <col min="1" max="1" width="2.77734375" style="128" customWidth="1"/>
    <col min="2" max="2" width="8" style="128" customWidth="1"/>
    <col min="3" max="3" width="37.44140625" style="128" customWidth="1"/>
    <col min="4" max="4" width="10.77734375" style="128" customWidth="1"/>
    <col min="5" max="6" width="11.44140625" style="128" customWidth="1"/>
    <col min="8" max="8" width="12.77734375" style="128" customWidth="1"/>
    <col min="9" max="9" width="15.44140625" style="128" customWidth="1"/>
    <col min="10" max="11" width="12.77734375" style="128" customWidth="1"/>
    <col min="12" max="12" width="11.44140625" style="128" customWidth="1"/>
    <col min="13" max="16" width="12.77734375" style="128" customWidth="1"/>
    <col min="17" max="17" width="14.21875" style="128" customWidth="1"/>
    <col min="18" max="24" width="11.44140625" style="128" customWidth="1"/>
    <col min="25" max="25" width="20.218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Stadtwerke Heide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>
        <f>Netzbetreiber!$D$28</f>
        <v>700897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371">
        <f>Netzbetreiber!$D$11</f>
        <v>9870089700009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5" thickBot="1">
      <c r="B11" s="139" t="s">
        <v>494</v>
      </c>
      <c r="C11" s="140" t="s">
        <v>509</v>
      </c>
      <c r="D11" s="304" t="s">
        <v>248</v>
      </c>
      <c r="E11" s="164" t="s">
        <v>40</v>
      </c>
      <c r="F11" s="306" t="str">
        <f>VLOOKUP($E11,'BDEW-Standard'!$B$3:$M$158,F$9,0)</f>
        <v>L14</v>
      </c>
      <c r="H11" s="167">
        <f>ROUND(VLOOKUP($E11,'BDEW-Standard'!$B$3:$M$158,H$9,0),7)</f>
        <v>3.1764404000000002</v>
      </c>
      <c r="I11" s="167">
        <f>ROUND(VLOOKUP($E11,'BDEW-Standard'!$B$3:$M$158,I$9,0),7)</f>
        <v>-37.410583199999998</v>
      </c>
      <c r="J11" s="167">
        <f>ROUND(VLOOKUP($E11,'BDEW-Standard'!$B$3:$M$158,J$9,0),7)</f>
        <v>6.1622336000000004</v>
      </c>
      <c r="K11" s="167">
        <f>ROUND(VLOOKUP($E11,'BDEW-Standard'!$B$3:$M$158,K$9,0),7)</f>
        <v>8.4573400000000007E-2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0.96237603288062623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>
        <f t="shared" ref="C12:C41" si="0">$D$6</f>
        <v>700897</v>
      </c>
      <c r="D12" s="62" t="s">
        <v>248</v>
      </c>
      <c r="E12" s="165" t="s">
        <v>48</v>
      </c>
      <c r="F12" s="307" t="s">
        <v>312</v>
      </c>
      <c r="H12" s="278">
        <v>2.5078170000000002</v>
      </c>
      <c r="I12" s="278">
        <v>-35.036736300000001</v>
      </c>
      <c r="J12" s="278">
        <v>6.2430158999999996</v>
      </c>
      <c r="K12" s="278">
        <v>0.1141781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v>1.0224102326442526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v>1</v>
      </c>
      <c r="Y12" s="303"/>
      <c r="Z12" s="212"/>
    </row>
    <row r="13" spans="2:26" s="143" customFormat="1">
      <c r="B13" s="144">
        <v>2</v>
      </c>
      <c r="C13" s="145">
        <f t="shared" si="0"/>
        <v>700897</v>
      </c>
      <c r="D13" s="62" t="s">
        <v>248</v>
      </c>
      <c r="E13" s="165" t="s">
        <v>666</v>
      </c>
      <c r="F13" s="307" t="str">
        <f>VLOOKUP($E13,'BDEW-Standard'!$B$3:$M$94,F$9,0)</f>
        <v>HA4</v>
      </c>
      <c r="H13" s="278">
        <f>ROUND(VLOOKUP($E13,'BDEW-Standard'!$B$3:$M$94,H$9,0),7)</f>
        <v>4.0196902000000003</v>
      </c>
      <c r="I13" s="278">
        <f>ROUND(VLOOKUP($E13,'BDEW-Standard'!$B$3:$M$94,I$9,0),7)</f>
        <v>-37.828203700000003</v>
      </c>
      <c r="J13" s="278">
        <f>ROUND(VLOOKUP($E13,'BDEW-Standard'!$B$3:$M$94,J$9,0),7)</f>
        <v>8.1593368999999996</v>
      </c>
      <c r="K13" s="278">
        <f>ROUND(VLOOKUP($E13,'BDEW-Standard'!$B$3:$M$94,K$9,0),7)</f>
        <v>4.72845E-2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ref="Q12:Q26" si="1">($H13/(1+($I13/($Q$9-$L13))^$J13)+$K13)+MAX($M13*$Q$9+$N13,$O13*$Q$9+$P13)</f>
        <v>0.86486713303260787</v>
      </c>
      <c r="R13" s="281">
        <f>ROUND(VLOOKUP(MID($E13,4,3),'Wochentag F(WT)'!$B$7:$J$22,R$9,0),4)</f>
        <v>1.0358000000000001</v>
      </c>
      <c r="S13" s="281">
        <f>ROUND(VLOOKUP(MID($E13,4,3),'Wochentag F(WT)'!$B$7:$J$22,S$9,0),4)</f>
        <v>1.0232000000000001</v>
      </c>
      <c r="T13" s="281">
        <f>ROUND(VLOOKUP(MID($E13,4,3),'Wochentag F(WT)'!$B$7:$J$22,T$9,0),4)</f>
        <v>1.0251999999999999</v>
      </c>
      <c r="U13" s="281">
        <f>ROUND(VLOOKUP(MID($E13,4,3),'Wochentag F(WT)'!$B$7:$J$22,U$9,0),4)</f>
        <v>1.0295000000000001</v>
      </c>
      <c r="V13" s="281">
        <f>ROUND(VLOOKUP(MID($E13,4,3),'Wochentag F(WT)'!$B$7:$J$22,V$9,0),4)</f>
        <v>1.0253000000000001</v>
      </c>
      <c r="W13" s="281">
        <f>ROUND(VLOOKUP(MID($E13,4,3),'Wochentag F(WT)'!$B$7:$J$22,W$9,0),4)</f>
        <v>0.96750000000000003</v>
      </c>
      <c r="X13" s="282">
        <f t="shared" ref="X13:X26" si="2">7-SUM(R13:W13)</f>
        <v>0.89350000000000041</v>
      </c>
      <c r="Y13" s="303"/>
      <c r="Z13" s="212"/>
    </row>
    <row r="14" spans="2:26" s="143" customFormat="1">
      <c r="B14" s="144">
        <v>3</v>
      </c>
      <c r="C14" s="145">
        <f t="shared" si="0"/>
        <v>700897</v>
      </c>
      <c r="D14" s="62" t="s">
        <v>248</v>
      </c>
      <c r="E14" s="165" t="s">
        <v>667</v>
      </c>
      <c r="F14" s="307" t="str">
        <f>VLOOKUP($E14,'BDEW-Standard'!$B$3:$M$94,F$9,0)</f>
        <v>GB4</v>
      </c>
      <c r="H14" s="278">
        <f>ROUND(VLOOKUP($E14,'BDEW-Standard'!$B$3:$M$94,H$9,0),7)</f>
        <v>3.6017736</v>
      </c>
      <c r="I14" s="278">
        <f>ROUND(VLOOKUP($E14,'BDEW-Standard'!$B$3:$M$94,I$9,0),7)</f>
        <v>-37.882536799999997</v>
      </c>
      <c r="J14" s="278">
        <f>ROUND(VLOOKUP($E14,'BDEW-Standard'!$B$3:$M$94,J$9,0),7)</f>
        <v>6.9836070000000001</v>
      </c>
      <c r="K14" s="278">
        <f>ROUND(VLOOKUP($E14,'BDEW-Standard'!$B$3:$M$94,K$9,0),7)</f>
        <v>5.4826199999999999E-2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0.90239375975311864</v>
      </c>
      <c r="R14" s="281">
        <f>ROUND(VLOOKUP(MID($E14,4,3),'Wochentag F(WT)'!$B$7:$J$22,R$9,0),4)</f>
        <v>0.98970000000000002</v>
      </c>
      <c r="S14" s="281">
        <f>ROUND(VLOOKUP(MID($E14,4,3),'Wochentag F(WT)'!$B$7:$J$22,S$9,0),4)</f>
        <v>0.9627</v>
      </c>
      <c r="T14" s="281">
        <f>ROUND(VLOOKUP(MID($E14,4,3),'Wochentag F(WT)'!$B$7:$J$22,T$9,0),4)</f>
        <v>1.0507</v>
      </c>
      <c r="U14" s="281">
        <f>ROUND(VLOOKUP(MID($E14,4,3),'Wochentag F(WT)'!$B$7:$J$22,U$9,0),4)</f>
        <v>1.0551999999999999</v>
      </c>
      <c r="V14" s="281">
        <f>ROUND(VLOOKUP(MID($E14,4,3),'Wochentag F(WT)'!$B$7:$J$22,V$9,0),4)</f>
        <v>1.0297000000000001</v>
      </c>
      <c r="W14" s="281">
        <f>ROUND(VLOOKUP(MID($E14,4,3),'Wochentag F(WT)'!$B$7:$J$22,W$9,0),4)</f>
        <v>0.97670000000000001</v>
      </c>
      <c r="X14" s="282">
        <f t="shared" si="2"/>
        <v>0.9352999999999998</v>
      </c>
      <c r="Y14" s="303"/>
      <c r="Z14" s="212"/>
    </row>
    <row r="15" spans="2:26" s="143" customFormat="1">
      <c r="B15" s="144">
        <v>4</v>
      </c>
      <c r="C15" s="145">
        <f t="shared" si="0"/>
        <v>700897</v>
      </c>
      <c r="D15" s="62" t="s">
        <v>248</v>
      </c>
      <c r="E15" s="165" t="s">
        <v>668</v>
      </c>
      <c r="F15" s="307" t="str">
        <f>VLOOKUP($E15,'BDEW-Standard'!$B$3:$M$94,F$9,0)</f>
        <v>KO4</v>
      </c>
      <c r="H15" s="278">
        <f>ROUND(VLOOKUP($E15,'BDEW-Standard'!$B$3:$M$94,H$9,0),7)</f>
        <v>3.4428942999999999</v>
      </c>
      <c r="I15" s="278">
        <f>ROUND(VLOOKUP($E15,'BDEW-Standard'!$B$3:$M$94,I$9,0),7)</f>
        <v>-36.659050399999998</v>
      </c>
      <c r="J15" s="278">
        <f>ROUND(VLOOKUP($E15,'BDEW-Standard'!$B$3:$M$94,J$9,0),7)</f>
        <v>7.6083226000000002</v>
      </c>
      <c r="K15" s="278">
        <f>ROUND(VLOOKUP($E15,'BDEW-Standard'!$B$3:$M$94,K$9,0),7)</f>
        <v>7.4685000000000001E-2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0.97768382110526542</v>
      </c>
      <c r="R15" s="281">
        <f>ROUND(VLOOKUP(MID($E15,4,3),'Wochentag F(WT)'!$B$7:$J$22,R$9,0),4)</f>
        <v>1.0354000000000001</v>
      </c>
      <c r="S15" s="281">
        <f>ROUND(VLOOKUP(MID($E15,4,3),'Wochentag F(WT)'!$B$7:$J$22,S$9,0),4)</f>
        <v>1.0523</v>
      </c>
      <c r="T15" s="281">
        <f>ROUND(VLOOKUP(MID($E15,4,3),'Wochentag F(WT)'!$B$7:$J$22,T$9,0),4)</f>
        <v>1.0448999999999999</v>
      </c>
      <c r="U15" s="281">
        <f>ROUND(VLOOKUP(MID($E15,4,3),'Wochentag F(WT)'!$B$7:$J$22,U$9,0),4)</f>
        <v>1.0494000000000001</v>
      </c>
      <c r="V15" s="281">
        <f>ROUND(VLOOKUP(MID($E15,4,3),'Wochentag F(WT)'!$B$7:$J$22,V$9,0),4)</f>
        <v>0.98850000000000005</v>
      </c>
      <c r="W15" s="281">
        <f>ROUND(VLOOKUP(MID($E15,4,3),'Wochentag F(WT)'!$B$7:$J$22,W$9,0),4)</f>
        <v>0.88600000000000001</v>
      </c>
      <c r="X15" s="282">
        <f t="shared" si="2"/>
        <v>0.94349999999999934</v>
      </c>
      <c r="Y15" s="303"/>
      <c r="Z15" s="212"/>
    </row>
    <row r="16" spans="2:26" s="143" customFormat="1">
      <c r="B16" s="144">
        <v>5</v>
      </c>
      <c r="C16" s="145">
        <f t="shared" si="0"/>
        <v>700897</v>
      </c>
      <c r="D16" s="62" t="s">
        <v>248</v>
      </c>
      <c r="E16" s="165" t="s">
        <v>669</v>
      </c>
      <c r="F16" s="307" t="str">
        <f>VLOOKUP($E16,'BDEW-Standard'!$B$3:$M$94,F$9,0)</f>
        <v>BD4</v>
      </c>
      <c r="H16" s="278">
        <f>ROUND(VLOOKUP($E16,'BDEW-Standard'!$B$3:$M$94,H$9,0),7)</f>
        <v>3.75</v>
      </c>
      <c r="I16" s="278">
        <f>ROUND(VLOOKUP($E16,'BDEW-Standard'!$B$3:$M$94,I$9,0),7)</f>
        <v>-37.5</v>
      </c>
      <c r="J16" s="278">
        <f>ROUND(VLOOKUP($E16,'BDEW-Standard'!$B$3:$M$94,J$9,0),7)</f>
        <v>6.8</v>
      </c>
      <c r="K16" s="278">
        <f>ROUND(VLOOKUP($E16,'BDEW-Standard'!$B$3:$M$94,K$9,0),7)</f>
        <v>6.0911300000000002E-2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1.0126136468627658</v>
      </c>
      <c r="R16" s="281">
        <f>ROUND(VLOOKUP(MID($E16,4,3),'Wochentag F(WT)'!$B$7:$J$22,R$9,0),4)</f>
        <v>1.1052</v>
      </c>
      <c r="S16" s="281">
        <f>ROUND(VLOOKUP(MID($E16,4,3),'Wochentag F(WT)'!$B$7:$J$22,S$9,0),4)</f>
        <v>1.0857000000000001</v>
      </c>
      <c r="T16" s="281">
        <f>ROUND(VLOOKUP(MID($E16,4,3),'Wochentag F(WT)'!$B$7:$J$22,T$9,0),4)</f>
        <v>1.0378000000000001</v>
      </c>
      <c r="U16" s="281">
        <f>ROUND(VLOOKUP(MID($E16,4,3),'Wochentag F(WT)'!$B$7:$J$22,U$9,0),4)</f>
        <v>1.0622</v>
      </c>
      <c r="V16" s="281">
        <f>ROUND(VLOOKUP(MID($E16,4,3),'Wochentag F(WT)'!$B$7:$J$22,V$9,0),4)</f>
        <v>1.0266</v>
      </c>
      <c r="W16" s="281">
        <f>ROUND(VLOOKUP(MID($E16,4,3),'Wochentag F(WT)'!$B$7:$J$22,W$9,0),4)</f>
        <v>0.76290000000000002</v>
      </c>
      <c r="X16" s="282">
        <f t="shared" si="2"/>
        <v>0.91959999999999997</v>
      </c>
      <c r="Y16" s="303"/>
      <c r="Z16" s="212"/>
    </row>
    <row r="17" spans="2:26" s="143" customFormat="1">
      <c r="B17" s="144">
        <v>6</v>
      </c>
      <c r="C17" s="145">
        <f t="shared" si="0"/>
        <v>700897</v>
      </c>
      <c r="D17" s="62" t="s">
        <v>248</v>
      </c>
      <c r="E17" s="165" t="s">
        <v>670</v>
      </c>
      <c r="F17" s="307" t="str">
        <f>VLOOKUP($E17,'BDEW-Standard'!$B$3:$M$94,F$9,0)</f>
        <v>MK4</v>
      </c>
      <c r="H17" s="278">
        <f>ROUND(VLOOKUP($E17,'BDEW-Standard'!$B$3:$M$94,H$9,0),7)</f>
        <v>3.1177248</v>
      </c>
      <c r="I17" s="278">
        <f>ROUND(VLOOKUP($E17,'BDEW-Standard'!$B$3:$M$94,I$9,0),7)</f>
        <v>-35.871506199999999</v>
      </c>
      <c r="J17" s="278">
        <f>ROUND(VLOOKUP($E17,'BDEW-Standard'!$B$3:$M$94,J$9,0),7)</f>
        <v>7.5186828999999999</v>
      </c>
      <c r="K17" s="278">
        <f>ROUND(VLOOKUP($E17,'BDEW-Standard'!$B$3:$M$94,K$9,0),7)</f>
        <v>3.4330100000000002E-2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0.9622064996731321</v>
      </c>
      <c r="R17" s="281">
        <f>ROUND(VLOOKUP(MID($E17,4,3),'Wochentag F(WT)'!$B$7:$J$22,R$9,0),4)</f>
        <v>1.0699000000000001</v>
      </c>
      <c r="S17" s="281">
        <f>ROUND(VLOOKUP(MID($E17,4,3),'Wochentag F(WT)'!$B$7:$J$22,S$9,0),4)</f>
        <v>1.0365</v>
      </c>
      <c r="T17" s="281">
        <f>ROUND(VLOOKUP(MID($E17,4,3),'Wochentag F(WT)'!$B$7:$J$22,T$9,0),4)</f>
        <v>0.99329999999999996</v>
      </c>
      <c r="U17" s="281">
        <f>ROUND(VLOOKUP(MID($E17,4,3),'Wochentag F(WT)'!$B$7:$J$22,U$9,0),4)</f>
        <v>0.99480000000000002</v>
      </c>
      <c r="V17" s="281">
        <f>ROUND(VLOOKUP(MID($E17,4,3),'Wochentag F(WT)'!$B$7:$J$22,V$9,0),4)</f>
        <v>1.0659000000000001</v>
      </c>
      <c r="W17" s="281">
        <f>ROUND(VLOOKUP(MID($E17,4,3),'Wochentag F(WT)'!$B$7:$J$22,W$9,0),4)</f>
        <v>0.93620000000000003</v>
      </c>
      <c r="X17" s="282">
        <f t="shared" si="2"/>
        <v>0.90339999999999954</v>
      </c>
      <c r="Y17" s="303"/>
      <c r="Z17" s="212"/>
    </row>
    <row r="18" spans="2:26" s="143" customFormat="1">
      <c r="B18" s="144">
        <v>7</v>
      </c>
      <c r="C18" s="145">
        <f t="shared" si="0"/>
        <v>700897</v>
      </c>
      <c r="D18" s="62" t="s">
        <v>248</v>
      </c>
      <c r="E18" s="165" t="s">
        <v>671</v>
      </c>
      <c r="F18" s="307" t="str">
        <f>VLOOKUP($E18,'BDEW-Standard'!$B$3:$M$94,F$9,0)</f>
        <v>PD4</v>
      </c>
      <c r="H18" s="278">
        <f>ROUND(VLOOKUP($E18,'BDEW-Standard'!$B$3:$M$94,H$9,0),7)</f>
        <v>3.85</v>
      </c>
      <c r="I18" s="278">
        <f>ROUND(VLOOKUP($E18,'BDEW-Standard'!$B$3:$M$94,I$9,0),7)</f>
        <v>-37</v>
      </c>
      <c r="J18" s="278">
        <f>ROUND(VLOOKUP($E18,'BDEW-Standard'!$B$3:$M$94,J$9,0),7)</f>
        <v>10.2405021</v>
      </c>
      <c r="K18" s="278">
        <f>ROUND(VLOOKUP($E18,'BDEW-Standard'!$B$3:$M$94,K$9,0),7)</f>
        <v>4.6924300000000002E-2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0.75691065279879233</v>
      </c>
      <c r="R18" s="281">
        <f>ROUND(VLOOKUP(MID($E18,4,3),'Wochentag F(WT)'!$B$7:$J$22,R$9,0),4)</f>
        <v>1.0214000000000001</v>
      </c>
      <c r="S18" s="281">
        <f>ROUND(VLOOKUP(MID($E18,4,3),'Wochentag F(WT)'!$B$7:$J$22,S$9,0),4)</f>
        <v>1.0866</v>
      </c>
      <c r="T18" s="281">
        <f>ROUND(VLOOKUP(MID($E18,4,3),'Wochentag F(WT)'!$B$7:$J$22,T$9,0),4)</f>
        <v>1.0720000000000001</v>
      </c>
      <c r="U18" s="281">
        <f>ROUND(VLOOKUP(MID($E18,4,3),'Wochentag F(WT)'!$B$7:$J$22,U$9,0),4)</f>
        <v>1.0557000000000001</v>
      </c>
      <c r="V18" s="281">
        <f>ROUND(VLOOKUP(MID($E18,4,3),'Wochentag F(WT)'!$B$7:$J$22,V$9,0),4)</f>
        <v>1.0117</v>
      </c>
      <c r="W18" s="281">
        <f>ROUND(VLOOKUP(MID($E18,4,3),'Wochentag F(WT)'!$B$7:$J$22,W$9,0),4)</f>
        <v>0.90010000000000001</v>
      </c>
      <c r="X18" s="282">
        <f t="shared" si="2"/>
        <v>0.85249999999999915</v>
      </c>
      <c r="Y18" s="303"/>
      <c r="Z18" s="212"/>
    </row>
    <row r="19" spans="2:26" s="143" customFormat="1">
      <c r="B19" s="144">
        <v>8</v>
      </c>
      <c r="C19" s="145">
        <f t="shared" si="0"/>
        <v>700897</v>
      </c>
      <c r="D19" s="62" t="s">
        <v>248</v>
      </c>
      <c r="E19" s="165" t="s">
        <v>672</v>
      </c>
      <c r="F19" s="307" t="str">
        <f>VLOOKUP($E19,'BDEW-Standard'!$B$3:$M$94,F$9,0)</f>
        <v>BH4</v>
      </c>
      <c r="H19" s="278">
        <f>ROUND(VLOOKUP($E19,'BDEW-Standard'!$B$3:$M$94,H$9,0),7)</f>
        <v>2.4595180999999999</v>
      </c>
      <c r="I19" s="278">
        <f>ROUND(VLOOKUP($E19,'BDEW-Standard'!$B$3:$M$94,I$9,0),7)</f>
        <v>-35.253212400000002</v>
      </c>
      <c r="J19" s="278">
        <f>ROUND(VLOOKUP($E19,'BDEW-Standard'!$B$3:$M$94,J$9,0),7)</f>
        <v>6.0587001000000003</v>
      </c>
      <c r="K19" s="278">
        <f>ROUND(VLOOKUP($E19,'BDEW-Standard'!$B$3:$M$94,K$9,0),7)</f>
        <v>0.16473699999999999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1.043802057143173</v>
      </c>
      <c r="R19" s="281">
        <f>ROUND(VLOOKUP(MID($E19,4,3),'Wochentag F(WT)'!$B$7:$J$22,R$9,0),4)</f>
        <v>0.97670000000000001</v>
      </c>
      <c r="S19" s="281">
        <f>ROUND(VLOOKUP(MID($E19,4,3),'Wochentag F(WT)'!$B$7:$J$22,S$9,0),4)</f>
        <v>1.0388999999999999</v>
      </c>
      <c r="T19" s="281">
        <f>ROUND(VLOOKUP(MID($E19,4,3),'Wochentag F(WT)'!$B$7:$J$22,T$9,0),4)</f>
        <v>1.0027999999999999</v>
      </c>
      <c r="U19" s="281">
        <f>ROUND(VLOOKUP(MID($E19,4,3),'Wochentag F(WT)'!$B$7:$J$22,U$9,0),4)</f>
        <v>1.0162</v>
      </c>
      <c r="V19" s="281">
        <f>ROUND(VLOOKUP(MID($E19,4,3),'Wochentag F(WT)'!$B$7:$J$22,V$9,0),4)</f>
        <v>1.0024</v>
      </c>
      <c r="W19" s="281">
        <f>ROUND(VLOOKUP(MID($E19,4,3),'Wochentag F(WT)'!$B$7:$J$22,W$9,0),4)</f>
        <v>1.0043</v>
      </c>
      <c r="X19" s="282">
        <f t="shared" si="2"/>
        <v>0.95870000000000122</v>
      </c>
      <c r="Y19" s="303"/>
      <c r="Z19" s="212"/>
    </row>
    <row r="20" spans="2:26" s="143" customFormat="1">
      <c r="B20" s="144">
        <v>9</v>
      </c>
      <c r="C20" s="145">
        <f t="shared" si="0"/>
        <v>700897</v>
      </c>
      <c r="D20" s="62" t="s">
        <v>248</v>
      </c>
      <c r="E20" s="165" t="s">
        <v>673</v>
      </c>
      <c r="F20" s="307" t="str">
        <f>VLOOKUP($E20,'BDEW-Standard'!$B$3:$M$94,F$9,0)</f>
        <v>GA4</v>
      </c>
      <c r="H20" s="278">
        <f>ROUND(VLOOKUP($E20,'BDEW-Standard'!$B$3:$M$94,H$9,0),7)</f>
        <v>2.8195655999999998</v>
      </c>
      <c r="I20" s="278">
        <f>ROUND(VLOOKUP($E20,'BDEW-Standard'!$B$3:$M$94,I$9,0),7)</f>
        <v>-36</v>
      </c>
      <c r="J20" s="278">
        <f>ROUND(VLOOKUP($E20,'BDEW-Standard'!$B$3:$M$94,J$9,0),7)</f>
        <v>7.7368518000000002</v>
      </c>
      <c r="K20" s="278">
        <f>ROUND(VLOOKUP($E20,'BDEW-Standard'!$B$3:$M$94,K$9,0),7)</f>
        <v>0.157281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0.96576337685759206</v>
      </c>
      <c r="R20" s="281">
        <f>ROUND(VLOOKUP(MID($E20,4,3),'Wochentag F(WT)'!$B$7:$J$22,R$9,0),4)</f>
        <v>0.93220000000000003</v>
      </c>
      <c r="S20" s="281">
        <f>ROUND(VLOOKUP(MID($E20,4,3),'Wochentag F(WT)'!$B$7:$J$22,S$9,0),4)</f>
        <v>0.98939999999999995</v>
      </c>
      <c r="T20" s="281">
        <f>ROUND(VLOOKUP(MID($E20,4,3),'Wochentag F(WT)'!$B$7:$J$22,T$9,0),4)</f>
        <v>1.0033000000000001</v>
      </c>
      <c r="U20" s="281">
        <f>ROUND(VLOOKUP(MID($E20,4,3),'Wochentag F(WT)'!$B$7:$J$22,U$9,0),4)</f>
        <v>1.0108999999999999</v>
      </c>
      <c r="V20" s="281">
        <f>ROUND(VLOOKUP(MID($E20,4,3),'Wochentag F(WT)'!$B$7:$J$22,V$9,0),4)</f>
        <v>1.018</v>
      </c>
      <c r="W20" s="281">
        <f>ROUND(VLOOKUP(MID($E20,4,3),'Wochentag F(WT)'!$B$7:$J$22,W$9,0),4)</f>
        <v>1.0356000000000001</v>
      </c>
      <c r="X20" s="282">
        <f t="shared" si="2"/>
        <v>1.0106000000000002</v>
      </c>
      <c r="Y20" s="303"/>
      <c r="Z20" s="212"/>
    </row>
    <row r="21" spans="2:26" s="143" customFormat="1">
      <c r="B21" s="144">
        <v>10</v>
      </c>
      <c r="C21" s="145">
        <f t="shared" si="0"/>
        <v>700897</v>
      </c>
      <c r="D21" s="62" t="s">
        <v>248</v>
      </c>
      <c r="E21" s="165" t="s">
        <v>674</v>
      </c>
      <c r="F21" s="307" t="str">
        <f>VLOOKUP($E21,'BDEW-Standard'!$B$3:$M$94,F$9,0)</f>
        <v>BA4</v>
      </c>
      <c r="H21" s="278">
        <f>ROUND(VLOOKUP($E21,'BDEW-Standard'!$B$3:$M$94,H$9,0),7)</f>
        <v>0.93158890000000005</v>
      </c>
      <c r="I21" s="278">
        <f>ROUND(VLOOKUP($E21,'BDEW-Standard'!$B$3:$M$94,I$9,0),7)</f>
        <v>-33.35</v>
      </c>
      <c r="J21" s="278">
        <f>ROUND(VLOOKUP($E21,'BDEW-Standard'!$B$3:$M$94,J$9,0),7)</f>
        <v>5.7212303000000002</v>
      </c>
      <c r="K21" s="278">
        <f>ROUND(VLOOKUP($E21,'BDEW-Standard'!$B$3:$M$94,K$9,0),7)</f>
        <v>0.66564939999999995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1.0766391850538448</v>
      </c>
      <c r="R21" s="281">
        <f>ROUND(VLOOKUP(MID($E21,4,3),'Wochentag F(WT)'!$B$7:$J$22,R$9,0),4)</f>
        <v>1.0848</v>
      </c>
      <c r="S21" s="281">
        <f>ROUND(VLOOKUP(MID($E21,4,3),'Wochentag F(WT)'!$B$7:$J$22,S$9,0),4)</f>
        <v>1.1211</v>
      </c>
      <c r="T21" s="281">
        <f>ROUND(VLOOKUP(MID($E21,4,3),'Wochentag F(WT)'!$B$7:$J$22,T$9,0),4)</f>
        <v>1.0769</v>
      </c>
      <c r="U21" s="281">
        <f>ROUND(VLOOKUP(MID($E21,4,3),'Wochentag F(WT)'!$B$7:$J$22,U$9,0),4)</f>
        <v>1.1353</v>
      </c>
      <c r="V21" s="281">
        <f>ROUND(VLOOKUP(MID($E21,4,3),'Wochentag F(WT)'!$B$7:$J$22,V$9,0),4)</f>
        <v>1.1402000000000001</v>
      </c>
      <c r="W21" s="281">
        <f>ROUND(VLOOKUP(MID($E21,4,3),'Wochentag F(WT)'!$B$7:$J$22,W$9,0),4)</f>
        <v>0.48520000000000002</v>
      </c>
      <c r="X21" s="282">
        <f t="shared" si="2"/>
        <v>0.95650000000000013</v>
      </c>
      <c r="Y21" s="303"/>
      <c r="Z21" s="212"/>
    </row>
    <row r="22" spans="2:26" s="143" customFormat="1">
      <c r="B22" s="144">
        <v>11</v>
      </c>
      <c r="C22" s="145">
        <f t="shared" si="0"/>
        <v>700897</v>
      </c>
      <c r="D22" s="62" t="s">
        <v>248</v>
      </c>
      <c r="E22" s="165" t="s">
        <v>4</v>
      </c>
      <c r="F22" s="307" t="str">
        <f>VLOOKUP($E22,'BDEW-Standard'!$B$3:$M$94,F$9,0)</f>
        <v>HK3</v>
      </c>
      <c r="H22" s="278">
        <f>ROUND(VLOOKUP($E22,'BDEW-Standard'!$B$3:$M$94,H$9,0),7)</f>
        <v>0.40409319999999999</v>
      </c>
      <c r="I22" s="278">
        <f>ROUND(VLOOKUP($E22,'BDEW-Standard'!$B$3:$M$94,I$9,0),7)</f>
        <v>-24.439296800000001</v>
      </c>
      <c r="J22" s="278">
        <f>ROUND(VLOOKUP($E22,'BDEW-Standard'!$B$3:$M$94,J$9,0),7)</f>
        <v>6.5718174999999999</v>
      </c>
      <c r="K22" s="278">
        <f>ROUND(VLOOKUP($E22,'BDEW-Standard'!$B$3:$M$94,K$9,0),7)</f>
        <v>0.71077100000000004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1.0561214000512988</v>
      </c>
      <c r="R22" s="281">
        <f>ROUND(VLOOKUP(MID($E22,4,3),'Wochentag F(WT)'!$B$7:$J$22,R$9,0),4)</f>
        <v>1</v>
      </c>
      <c r="S22" s="281">
        <f>ROUND(VLOOKUP(MID($E22,4,3),'Wochentag F(WT)'!$B$7:$J$22,S$9,0),4)</f>
        <v>1</v>
      </c>
      <c r="T22" s="281">
        <f>ROUND(VLOOKUP(MID($E22,4,3),'Wochentag F(WT)'!$B$7:$J$22,T$9,0),4)</f>
        <v>1</v>
      </c>
      <c r="U22" s="281">
        <f>ROUND(VLOOKUP(MID($E22,4,3),'Wochentag F(WT)'!$B$7:$J$22,U$9,0),4)</f>
        <v>1</v>
      </c>
      <c r="V22" s="281">
        <f>ROUND(VLOOKUP(MID($E22,4,3),'Wochentag F(WT)'!$B$7:$J$22,V$9,0),4)</f>
        <v>1</v>
      </c>
      <c r="W22" s="281">
        <f>ROUND(VLOOKUP(MID($E22,4,3),'Wochentag F(WT)'!$B$7:$J$22,W$9,0),4)</f>
        <v>1</v>
      </c>
      <c r="X22" s="282">
        <f t="shared" si="2"/>
        <v>1</v>
      </c>
      <c r="Y22" s="303"/>
      <c r="Z22" s="212"/>
    </row>
    <row r="23" spans="2:26" s="143" customFormat="1">
      <c r="B23" s="144">
        <v>12</v>
      </c>
      <c r="C23" s="145">
        <f t="shared" si="0"/>
        <v>700897</v>
      </c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>
        <f t="shared" si="0"/>
        <v>700897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>
        <f t="shared" si="0"/>
        <v>700897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>
        <f t="shared" si="0"/>
        <v>700897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>
        <f t="shared" si="0"/>
        <v>700897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>
        <f t="shared" si="0"/>
        <v>700897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>
        <f t="shared" si="0"/>
        <v>700897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>
        <f t="shared" si="0"/>
        <v>700897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>
        <f t="shared" si="0"/>
        <v>700897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>
        <f t="shared" si="0"/>
        <v>700897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>
        <f t="shared" si="0"/>
        <v>700897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>
        <f t="shared" si="0"/>
        <v>700897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>
        <f t="shared" si="0"/>
        <v>700897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>
        <f t="shared" si="0"/>
        <v>700897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>
        <f t="shared" si="0"/>
        <v>700897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>
        <f t="shared" si="0"/>
        <v>700897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>
        <f t="shared" si="0"/>
        <v>700897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>
        <f t="shared" si="0"/>
        <v>700897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>
        <f t="shared" si="0"/>
        <v>700897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2" priority="9">
      <formula>ISERROR(F11)</formula>
    </cfRule>
  </conditionalFormatting>
  <conditionalFormatting sqref="E12:F41 Y12:Y41">
    <cfRule type="duplicateValues" dxfId="11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8"/>
    <col min="4" max="4" width="19.77734375" style="128" customWidth="1"/>
    <col min="5" max="9" width="16" style="128" customWidth="1"/>
    <col min="10" max="10" width="15.21875" style="128" customWidth="1"/>
    <col min="11" max="12" width="16" style="128" customWidth="1"/>
    <col min="13" max="13" width="15.21875" style="128" customWidth="1"/>
    <col min="14" max="16384" width="11.441406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544</v>
      </c>
      <c r="N1" s="218"/>
    </row>
    <row r="2" spans="1:14" ht="26.4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W11" sqref="W11"/>
    </sheetView>
  </sheetViews>
  <sheetFormatPr baseColWidth="10" defaultColWidth="0" defaultRowHeight="13.2" zeroHeight="1"/>
  <cols>
    <col min="1" max="1" width="2.77734375" style="75" customWidth="1"/>
    <col min="2" max="2" width="15.21875" style="75" customWidth="1"/>
    <col min="3" max="3" width="14.77734375" style="75" customWidth="1"/>
    <col min="4" max="4" width="5.77734375" style="75" hidden="1" customWidth="1"/>
    <col min="5" max="5" width="5.21875" style="75" customWidth="1"/>
    <col min="6" max="12" width="12.77734375" style="75" customWidth="1"/>
    <col min="13" max="30" width="5.7773437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Stadtwerke Heide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441</v>
      </c>
      <c r="C5" s="64">
        <f>Netzbetreiber!D28</f>
        <v>700897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439</v>
      </c>
      <c r="C6" s="370">
        <f>Netzbetreiber!$D$11</f>
        <v>9870089700009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4" t="s">
        <v>455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59" t="s">
        <v>582</v>
      </c>
      <c r="C10" s="360"/>
      <c r="D10" s="94">
        <v>2</v>
      </c>
      <c r="E10" s="95" t="str">
        <f>IF(ISERROR(HLOOKUP(E$11,$M$9:$AD$35,$D10,0)),"",HLOOKUP(E$11,$M$9:$AD$35,$D10,0))</f>
        <v/>
      </c>
      <c r="F10" s="357" t="s">
        <v>395</v>
      </c>
      <c r="G10" s="357"/>
      <c r="H10" s="357"/>
      <c r="I10" s="357"/>
      <c r="J10" s="357"/>
      <c r="K10" s="357"/>
      <c r="L10" s="358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339" t="s">
        <v>650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4.4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648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4.4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4.4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4.4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4.4">
      <c r="B27" s="339" t="s">
        <v>649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4.4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4.4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4.4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4.4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4.4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4.4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4.4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7" priority="9">
      <formula>IF(E$11="NB",1,0)</formula>
    </cfRule>
  </conditionalFormatting>
  <conditionalFormatting sqref="F12:L35">
    <cfRule type="expression" dxfId="6" priority="6">
      <formula>IF($E12=1,1,0)</formula>
    </cfRule>
  </conditionalFormatting>
  <conditionalFormatting sqref="M12:AD35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77734375" style="257" customWidth="1"/>
    <col min="2" max="2" width="7" style="258" customWidth="1"/>
    <col min="3" max="3" width="27.77734375" style="237" customWidth="1"/>
    <col min="4" max="10" width="8.77734375" style="237" customWidth="1"/>
    <col min="11" max="14" width="11.44140625" style="237" customWidth="1"/>
    <col min="15" max="15" width="12.21875" style="128" customWidth="1"/>
    <col min="16" max="16" width="16.5546875" style="237" customWidth="1"/>
    <col min="17" max="16384" width="11.44140625" style="237"/>
  </cols>
  <sheetData>
    <row r="1" spans="1:16" s="236" customFormat="1">
      <c r="A1" s="131" t="s">
        <v>452</v>
      </c>
      <c r="B1" s="128"/>
      <c r="D1" s="217" t="s">
        <v>544</v>
      </c>
    </row>
    <row r="2" spans="1:16">
      <c r="A2" s="237"/>
      <c r="B2" s="236" t="s">
        <v>453</v>
      </c>
    </row>
    <row r="3" spans="1:16" ht="20.100000000000001" customHeight="1">
      <c r="A3" s="361" t="s">
        <v>249</v>
      </c>
      <c r="B3" s="238" t="s">
        <v>86</v>
      </c>
      <c r="C3" s="239"/>
      <c r="D3" s="363" t="s">
        <v>454</v>
      </c>
      <c r="E3" s="364"/>
      <c r="F3" s="364"/>
      <c r="G3" s="364"/>
      <c r="H3" s="364"/>
      <c r="I3" s="364"/>
      <c r="J3" s="365"/>
      <c r="K3" s="240"/>
      <c r="L3" s="240"/>
      <c r="M3" s="240"/>
      <c r="N3" s="240"/>
      <c r="O3" s="241"/>
      <c r="P3" s="240"/>
    </row>
    <row r="4" spans="1:16" ht="20.100000000000001" customHeight="1">
      <c r="A4" s="362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9.6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6.4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818b9f00-f4e5-4488-840e-6084e0f1107e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Thomas Nowicki</cp:lastModifiedBy>
  <cp:lastPrinted>2015-03-20T22:59:10Z</cp:lastPrinted>
  <dcterms:created xsi:type="dcterms:W3CDTF">2015-01-15T05:25:41Z</dcterms:created>
  <dcterms:modified xsi:type="dcterms:W3CDTF">2023-06-05T13:42:24Z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